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kolinah\Desktop\2023\berza\NEREVIDIRANI IZVESTAI 2023\30062023\"/>
    </mc:Choice>
  </mc:AlternateContent>
  <workbookProtection workbookPassword="B44F" lockStructure="1"/>
  <bookViews>
    <workbookView xWindow="0" yWindow="0" windowWidth="20490" windowHeight="6975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45" i="25" l="1"/>
  <c r="C29" i="25"/>
  <c r="B34" i="25"/>
  <c r="C11" i="25"/>
  <c r="C52" i="25"/>
  <c r="C48" i="25"/>
  <c r="C44" i="25"/>
  <c r="C40" i="25"/>
  <c r="C30" i="25"/>
  <c r="D13" i="22"/>
  <c r="D14" i="22"/>
  <c r="C13" i="22" l="1"/>
  <c r="C14" i="22"/>
  <c r="B52" i="25" l="1"/>
  <c r="B44" i="25"/>
  <c r="B45" i="25"/>
  <c r="B48" i="25"/>
  <c r="B40" i="25"/>
  <c r="B29" i="25"/>
  <c r="B30" i="25"/>
  <c r="B19" i="25"/>
  <c r="C27" i="25" l="1"/>
  <c r="C34" i="25" s="1"/>
  <c r="B39" i="7" l="1"/>
  <c r="B29" i="7"/>
  <c r="B9" i="7"/>
  <c r="C37" i="22"/>
  <c r="C33" i="22"/>
  <c r="C20" i="22"/>
  <c r="C12" i="22"/>
  <c r="C11" i="22" s="1"/>
  <c r="B51" i="25"/>
  <c r="B43" i="25"/>
  <c r="B37" i="25"/>
  <c r="B27" i="25"/>
  <c r="B13" i="25"/>
  <c r="B11" i="25" s="1"/>
  <c r="B47" i="7" l="1"/>
  <c r="B49" i="7" s="1"/>
  <c r="C32" i="22"/>
  <c r="C41" i="22" s="1"/>
  <c r="C43" i="22" s="1"/>
  <c r="C45" i="22" s="1"/>
  <c r="C47" i="22" s="1"/>
  <c r="B56" i="25"/>
  <c r="B42" i="25"/>
  <c r="C49" i="22" l="1"/>
  <c r="D20" i="22"/>
  <c r="C13" i="25" l="1"/>
  <c r="C9" i="7" l="1"/>
  <c r="D33" i="22"/>
  <c r="C43" i="25"/>
  <c r="D12" i="22" l="1"/>
  <c r="D11" i="22" l="1"/>
  <c r="D32" i="22" s="1"/>
  <c r="B24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D19" i="25" s="1"/>
  <c r="D16" i="24" s="1"/>
  <c r="D18" i="25"/>
  <c r="D15" i="24" s="1"/>
  <c r="D17" i="25"/>
  <c r="D14" i="24" s="1"/>
  <c r="D16" i="25"/>
  <c r="D13" i="24" s="1"/>
  <c r="D15" i="25"/>
  <c r="D12" i="24" s="1"/>
  <c r="D14" i="25"/>
  <c r="D11" i="24" s="1"/>
  <c r="D12" i="25"/>
  <c r="D9" i="24" s="1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B38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B46" i="6"/>
  <c r="D29" i="7"/>
  <c r="D28" i="6" s="1"/>
  <c r="C11" i="20"/>
  <c r="B16" i="24"/>
  <c r="D39" i="7" l="1"/>
  <c r="D38" i="6" s="1"/>
  <c r="D47" i="12"/>
  <c r="D45" i="13" s="1"/>
  <c r="C24" i="24"/>
  <c r="B53" i="24"/>
  <c r="E33" i="22"/>
  <c r="E33" i="20" s="1"/>
  <c r="B10" i="24"/>
  <c r="C28" i="6"/>
  <c r="C47" i="7"/>
  <c r="C49" i="7" s="1"/>
  <c r="C48" i="6" s="1"/>
  <c r="C16" i="24"/>
  <c r="E20" i="22"/>
  <c r="E20" i="20" s="1"/>
  <c r="C32" i="20"/>
  <c r="D11" i="20"/>
  <c r="B40" i="24"/>
  <c r="B39" i="24"/>
  <c r="E47" i="12"/>
  <c r="E45" i="13" s="1"/>
  <c r="G28" i="12"/>
  <c r="G47" i="12" s="1"/>
  <c r="G45" i="13" s="1"/>
  <c r="D43" i="25"/>
  <c r="D40" i="24" s="1"/>
  <c r="C40" i="24"/>
  <c r="D37" i="25"/>
  <c r="D34" i="24" s="1"/>
  <c r="D13" i="25"/>
  <c r="D10" i="24" s="1"/>
  <c r="B48" i="6"/>
  <c r="B34" i="24"/>
  <c r="D27" i="25"/>
  <c r="D24" i="24" s="1"/>
  <c r="B8" i="24"/>
  <c r="E12" i="22"/>
  <c r="E12" i="20" s="1"/>
  <c r="E37" i="22"/>
  <c r="E37" i="20" s="1"/>
  <c r="C10" i="24"/>
  <c r="C8" i="24" l="1"/>
  <c r="C31" i="24"/>
  <c r="D11" i="25"/>
  <c r="D8" i="24" s="1"/>
  <c r="D34" i="25"/>
  <c r="D31" i="24" s="1"/>
  <c r="E11" i="22"/>
  <c r="E11" i="20" s="1"/>
  <c r="D47" i="7"/>
  <c r="D46" i="6" s="1"/>
  <c r="C46" i="6"/>
  <c r="G26" i="13"/>
  <c r="B31" i="24"/>
  <c r="D49" i="7"/>
  <c r="D48" i="6" s="1"/>
  <c r="D32" i="20" l="1"/>
  <c r="D41" i="22"/>
  <c r="E32" i="22"/>
  <c r="E32" i="20" s="1"/>
  <c r="C41" i="20"/>
  <c r="D41" i="20" l="1"/>
  <c r="E41" i="22"/>
  <c r="E41" i="20" s="1"/>
  <c r="C43" i="20"/>
  <c r="D43" i="22"/>
  <c r="D43" i="20" l="1"/>
  <c r="D45" i="22"/>
  <c r="E43" i="22"/>
  <c r="E43" i="20" s="1"/>
  <c r="C45" i="20"/>
  <c r="D45" i="20" l="1"/>
  <c r="D49" i="22"/>
  <c r="D49" i="20" s="1"/>
  <c r="E45" i="22"/>
  <c r="E45" i="20" s="1"/>
  <c r="C47" i="20"/>
  <c r="C49" i="20"/>
  <c r="D47" i="22"/>
  <c r="D47" i="20" s="1"/>
  <c r="E47" i="22" l="1"/>
  <c r="E47" i="20" s="1"/>
  <c r="E49" i="22"/>
  <c r="E49" i="20" s="1"/>
  <c r="C50" i="24"/>
  <c r="C51" i="25"/>
  <c r="C48" i="24" s="1"/>
  <c r="D51" i="25" l="1"/>
  <c r="D48" i="24" s="1"/>
  <c r="C42" i="25"/>
  <c r="C56" i="25"/>
  <c r="C53" i="24" l="1"/>
  <c r="D56" i="25"/>
  <c r="D53" i="24" s="1"/>
  <c r="D42" i="25"/>
  <c r="D39" i="24" s="1"/>
  <c r="C39" i="24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<sst xmlns="http://schemas.openxmlformats.org/spreadsheetml/2006/main" count="475" uniqueCount="380">
  <si>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</si>
  <si>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</si>
  <si>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</si>
  <si>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</si>
  <si>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</si>
  <si>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</si>
  <si>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</si>
  <si>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</si>
  <si>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</si>
  <si>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</si>
  <si>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</si>
  <si>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</si>
  <si>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</si>
  <si>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</si>
  <si>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</si>
  <si>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</si>
  <si>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</si>
  <si>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</si>
  <si>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</si>
  <si>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</si>
  <si>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</si>
  <si>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</si>
  <si>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</si>
  <si>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</si>
  <si>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</si>
  <si>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</si>
  <si>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</si>
  <si>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</si>
  <si>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</si>
  <si>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</si>
  <si>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</si>
  <si>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</si>
  <si>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</si>
  <si>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</si>
  <si>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</si>
  <si>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</si>
  <si>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</si>
  <si>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</si>
  <si>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</si>
  <si>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</si>
  <si>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</si>
  <si>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</si>
  <si>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</si>
  <si>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</si>
  <si>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</si>
  <si>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</si>
  <si>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</si>
  <si>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</si>
  <si>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</si>
  <si>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</si>
  <si>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</si>
  <si>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</si>
  <si>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</si>
  <si>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</si>
  <si>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</si>
  <si>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</si>
  <si>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</si>
  <si>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</si>
  <si>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</si>
  <si>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</si>
  <si>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</si>
  <si>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</si>
  <si>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</si>
  <si>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</si>
  <si>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</si>
  <si>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</si>
  <si>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</si>
  <si>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</si>
  <si>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</si>
  <si>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</si>
  <si>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</si>
  <si>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</si>
  <si>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</si>
  <si>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</si>
  <si>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</si>
  <si>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</si>
  <si>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</si>
  <si>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</si>
  <si>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</si>
  <si>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</si>
  <si>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</si>
  <si>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</si>
  <si>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</si>
  <si>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</si>
  <si>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</si>
  <si>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</si>
  <si>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</si>
  <si>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</si>
  <si>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</si>
  <si>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</si>
  <si>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</si>
  <si>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</si>
  <si>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</si>
  <si>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</si>
  <si>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</si>
  <si>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</si>
  <si>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</si>
  <si>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</si>
  <si>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</si>
  <si>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</si>
  <si>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</si>
  <si>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</si>
  <si>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</si>
  <si>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</si>
  <si>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</si>
  <si>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</si>
  <si>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</si>
  <si>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</si>
  <si>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</si>
  <si>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</si>
  <si>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</si>
  <si>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</si>
  <si>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</si>
  <si>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</si>
  <si>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</si>
  <si>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</si>
  <si>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</si>
  <si>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</si>
  <si>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</si>
  <si>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</si>
  <si>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</si>
  <si>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</si>
  <si>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</si>
  <si>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</si>
  <si>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</si>
  <si>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</si>
  <si>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</si>
  <si>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</si>
  <si>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</si>
  <si>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</si>
  <si>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</si>
  <si>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</si>
  <si>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</si>
  <si>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</si>
  <si>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</si>
  <si>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</si>
  <si>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</si>
  <si>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</si>
  <si>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</si>
  <si>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</si>
  <si>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</si>
  <si>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</si>
  <si>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</si>
  <si>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</si>
  <si>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</si>
  <si>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</si>
  <si>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</si>
  <si>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</si>
  <si>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</si>
  <si>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</si>
  <si>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</si>
  <si>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</si>
  <si>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</si>
  <si>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</si>
  <si>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</si>
  <si>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</si>
  <si>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</si>
  <si>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</si>
  <si>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</si>
  <si>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</si>
  <si>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</si>
  <si>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</si>
  <si>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</si>
  <si>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</si>
  <si>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</si>
  <si>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</si>
  <si>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</si>
  <si>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</si>
  <si>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</si>
  <si>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</si>
  <si>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</si>
  <si>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</si>
  <si>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</si>
  <si>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</si>
  <si>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</si>
  <si>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</si>
  <si>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</si>
  <si>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</si>
  <si>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</si>
  <si>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</si>
  <si>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</si>
  <si>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</si>
  <si>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</si>
  <si>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</si>
  <si>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</si>
  <si>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</si>
  <si>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</si>
  <si>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</si>
  <si>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</si>
  <si>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</si>
  <si>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</si>
  <si>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</si>
  <si>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</si>
  <si>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</si>
  <si>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</si>
  <si>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</si>
  <si>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</si>
  <si>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</si>
  <si>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</si>
  <si>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</si>
  <si>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</si>
  <si>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</si>
  <si>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</si>
  <si>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</si>
  <si>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</si>
  <si>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</si>
  <si>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</si>
  <si>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</si>
  <si>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</si>
  <si>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</si>
  <si>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</si>
  <si>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</si>
  <si>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</si>
  <si>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</si>
  <si>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</si>
  <si>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</si>
  <si>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</si>
  <si>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</si>
  <si>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</si>
  <si>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</si>
  <si>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</si>
  <si>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</si>
  <si>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</si>
  <si>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</si>
  <si>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</si>
  <si>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</si>
  <si>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</si>
  <si>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</si>
  <si>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</si>
  <si>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</si>
  <si>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</si>
  <si>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</si>
  <si>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</si>
  <si>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</si>
  <si>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</si>
  <si>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</si>
  <si>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</si>
  <si>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</si>
  <si>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</si>
  <si>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</si>
  <si>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</si>
  <si>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</si>
  <si>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</si>
  <si>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</si>
  <si>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</si>
  <si>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</si>
  <si>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</si>
  <si>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</si>
  <si>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</si>
  <si>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</si>
  <si>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</si>
  <si>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</si>
  <si>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</si>
  <si>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</si>
  <si>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</si>
  <si>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</si>
  <si>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</si>
  <si>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</si>
  <si>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</si>
  <si>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</si>
  <si>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</si>
  <si>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</si>
  <si>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</si>
  <si>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</si>
  <si>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</si>
  <si>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</si>
  <si>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</si>
  <si>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</si>
  <si>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</si>
  <si>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</si>
  <si>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</si>
  <si>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</si>
  <si>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</si>
  <si>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</si>
  <si>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</si>
  <si>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</si>
  <si>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</si>
  <si>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</si>
  <si>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</si>
  <si>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</si>
  <si>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</si>
  <si>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</si>
  <si>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</si>
  <si>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</si>
  <si>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</si>
  <si>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</si>
  <si>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</si>
  <si>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</si>
  <si>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</si>
  <si>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</si>
  <si>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</si>
  <si>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</si>
  <si>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</si>
  <si>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</si>
  <si>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</si>
  <si>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</si>
  <si>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</si>
  <si>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</si>
  <si>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</si>
  <si>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</si>
  <si>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</si>
  <si>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</si>
  <si>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</si>
  <si>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</si>
  <si>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</si>
  <si>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</si>
  <si>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</si>
  <si>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</si>
  <si>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</si>
  <si>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</si>
  <si>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</si>
  <si>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</si>
  <si>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</si>
  <si>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</si>
  <si>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</si>
  <si>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</si>
  <si>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</si>
  <si>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</si>
  <si>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</si>
  <si>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</si>
  <si>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</si>
  <si>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</si>
  <si>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</si>
  <si>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</si>
  <si>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</si>
  <si>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</si>
  <si>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</si>
  <si>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</si>
  <si>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</si>
  <si>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</si>
  <si>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</si>
  <si>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</si>
  <si>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</si>
  <si>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</si>
  <si>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</si>
  <si>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</si>
  <si>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</si>
  <si>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</si>
  <si>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</si>
  <si>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</si>
  <si>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</si>
  <si>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</si>
  <si>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</si>
  <si>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</si>
  <si>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</si>
  <si>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</si>
  <si>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</si>
  <si>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</si>
  <si>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</si>
  <si>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</si>
  <si>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</si>
  <si>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</si>
  <si>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</si>
  <si>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</si>
  <si>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</si>
  <si>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</si>
  <si>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</si>
  <si>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</si>
  <si>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</si>
  <si>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</si>
  <si>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</si>
  <si>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</si>
  <si>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</si>
  <si>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</si>
  <si>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</si>
  <si>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</si>
  <si>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</si>
  <si>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</si>
  <si>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</si>
  <si>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</si>
  <si>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</si>
  <si>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</si>
  <si>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</si>
  <si>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</si>
  <si>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</si>
  <si>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</si>
  <si>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</si>
  <si>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</si>
  <si>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</si>
  <si>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Макстил А.Д.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</si>
</sst>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3" sqref="C23"/>
    </sheetView>
  </sheetViews>
  <sheetFormatPr defaultColWidth="9.140625"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6"/>
      <c r="B1" s="227"/>
      <c r="C1" s="227"/>
      <c r="D1" s="227"/>
      <c r="E1" s="227"/>
      <c r="F1" s="227"/>
      <c r="G1" s="227"/>
      <c r="H1" s="228"/>
      <c r="I1" s="229"/>
      <c r="J1" s="229"/>
      <c r="K1" s="229"/>
      <c r="L1" s="229"/>
      <c r="M1" s="229"/>
      <c r="N1" s="229"/>
      <c r="O1" s="229"/>
      <c r="P1" s="229"/>
      <c r="Q1" s="229"/>
      <c r="R1" s="229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1"/>
      <c r="K6" s="221"/>
      <c r="L6" s="221"/>
      <c r="M6" s="221"/>
      <c r="N6" s="221"/>
      <c r="O6" s="221"/>
      <c r="P6" s="221"/>
      <c r="Q6" s="221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1"/>
      <c r="K7" s="221"/>
      <c r="L7" s="221"/>
      <c r="M7" s="221"/>
      <c r="N7" s="221"/>
      <c r="O7" s="221"/>
      <c r="P7" s="221"/>
      <c r="Q7" s="221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1"/>
      <c r="K8" s="221"/>
      <c r="L8" s="221"/>
      <c r="M8" s="221"/>
      <c r="N8" s="221"/>
      <c r="O8" s="221"/>
      <c r="P8" s="221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30" t="s">
        <v>310</v>
      </c>
      <c r="B9" s="231"/>
      <c r="C9" s="231"/>
      <c r="D9" s="231"/>
      <c r="E9" s="231"/>
      <c r="F9" s="231"/>
      <c r="G9" s="231"/>
      <c r="H9" s="232"/>
      <c r="I9" s="55"/>
      <c r="J9" s="221"/>
      <c r="K9" s="221"/>
      <c r="L9" s="221"/>
      <c r="M9" s="221"/>
      <c r="N9" s="221"/>
      <c r="O9" s="221"/>
      <c r="P9" s="221"/>
      <c r="Q9" s="221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30"/>
      <c r="B10" s="231"/>
      <c r="C10" s="231"/>
      <c r="D10" s="231"/>
      <c r="E10" s="231"/>
      <c r="F10" s="231"/>
      <c r="G10" s="231"/>
      <c r="H10" s="232"/>
      <c r="J10" s="221"/>
      <c r="K10" s="221"/>
      <c r="L10" s="221"/>
      <c r="M10" s="221"/>
      <c r="N10" s="221"/>
      <c r="O10" s="221"/>
      <c r="P10" s="221"/>
      <c r="Q10" s="221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1"/>
      <c r="K11" s="221"/>
      <c r="L11" s="221"/>
      <c r="M11" s="221"/>
      <c r="N11" s="221"/>
      <c r="O11" s="221"/>
      <c r="P11" s="221"/>
      <c r="Q11" s="221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1"/>
      <c r="K12" s="221"/>
      <c r="L12" s="221"/>
      <c r="M12" s="221"/>
      <c r="N12" s="221"/>
      <c r="O12" s="221"/>
      <c r="P12" s="221"/>
      <c r="Q12" s="221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1"/>
      <c r="K13" s="221"/>
      <c r="L13" s="221"/>
      <c r="M13" s="221"/>
      <c r="N13" s="221"/>
      <c r="O13" s="221"/>
      <c r="P13" s="221"/>
      <c r="Q13" s="221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1"/>
      <c r="K14" s="221"/>
      <c r="L14" s="221"/>
      <c r="M14" s="221"/>
      <c r="N14" s="221"/>
      <c r="O14" s="221"/>
      <c r="P14" s="221"/>
      <c r="Q14" s="221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1"/>
      <c r="K15" s="221"/>
      <c r="L15" s="221"/>
      <c r="M15" s="221"/>
      <c r="N15" s="221"/>
      <c r="O15" s="221"/>
      <c r="P15" s="221"/>
      <c r="Q15" s="221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1"/>
      <c r="K16" s="221"/>
      <c r="L16" s="221"/>
      <c r="M16" s="221"/>
      <c r="N16" s="221"/>
      <c r="O16" s="221"/>
      <c r="P16" s="221"/>
      <c r="Q16" s="221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2"/>
      <c r="K17" s="222"/>
      <c r="L17" s="222"/>
      <c r="M17" s="222"/>
      <c r="N17" s="222"/>
      <c r="O17" s="222"/>
      <c r="P17" s="222"/>
      <c r="Q17" s="222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3" t="s">
        <v>379</v>
      </c>
      <c r="D18" s="224"/>
      <c r="E18" s="224"/>
      <c r="F18" s="224"/>
      <c r="G18" s="225"/>
      <c r="H18" s="50"/>
      <c r="I18" s="42"/>
      <c r="J18" s="214"/>
      <c r="K18" s="214"/>
      <c r="L18" s="214"/>
      <c r="M18" s="214"/>
      <c r="N18" s="214"/>
      <c r="O18" s="214"/>
      <c r="P18" s="214"/>
      <c r="Q18" s="214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8">
        <v>5166250</v>
      </c>
      <c r="D19" s="219"/>
      <c r="E19" s="219"/>
      <c r="F19" s="219"/>
      <c r="G19" s="220"/>
      <c r="H19" s="46"/>
      <c r="I19" s="42"/>
      <c r="J19" s="215"/>
      <c r="K19" s="215"/>
      <c r="L19" s="215"/>
      <c r="M19" s="215"/>
      <c r="N19" s="215"/>
      <c r="O19" s="215"/>
      <c r="P19" s="215"/>
      <c r="Q19" s="21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5"/>
      <c r="K21" s="215"/>
      <c r="L21" s="215"/>
      <c r="M21" s="215"/>
      <c r="N21" s="215"/>
      <c r="O21" s="215"/>
      <c r="P21" s="215"/>
      <c r="Q21" s="21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15"/>
      <c r="K22" s="215"/>
      <c r="L22" s="215"/>
      <c r="M22" s="215"/>
      <c r="N22" s="215"/>
      <c r="O22" s="215"/>
      <c r="P22" s="215"/>
      <c r="Q22" s="21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2023</v>
      </c>
      <c r="D23" s="202"/>
      <c r="E23" s="202"/>
      <c r="F23" s="202"/>
      <c r="G23" s="203"/>
      <c r="H23" s="46"/>
      <c r="J23" s="215"/>
      <c r="K23" s="215"/>
      <c r="L23" s="215"/>
      <c r="M23" s="215"/>
      <c r="N23" s="215"/>
      <c r="O23" s="215"/>
      <c r="P23" s="215"/>
      <c r="Q23" s="21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5"/>
      <c r="K24" s="215"/>
      <c r="L24" s="215"/>
      <c r="M24" s="215"/>
      <c r="N24" s="215"/>
      <c r="O24" s="215"/>
      <c r="P24" s="215"/>
      <c r="Q24" s="21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4"/>
      <c r="K25" s="214"/>
      <c r="L25" s="214"/>
      <c r="M25" s="214"/>
      <c r="N25" s="214"/>
      <c r="O25" s="214"/>
      <c r="P25" s="214"/>
      <c r="Q25" s="214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5"/>
      <c r="K26" s="215"/>
      <c r="L26" s="215"/>
      <c r="M26" s="215"/>
      <c r="N26" s="215"/>
      <c r="O26" s="215"/>
      <c r="P26" s="215"/>
      <c r="Q26" s="21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5"/>
      <c r="K27" s="215"/>
      <c r="L27" s="215"/>
      <c r="M27" s="215"/>
      <c r="N27" s="215"/>
      <c r="O27" s="215"/>
      <c r="P27" s="215"/>
      <c r="Q27" s="21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6"/>
      <c r="C28" s="216"/>
      <c r="D28" s="216"/>
      <c r="E28" s="216"/>
      <c r="F28" s="216"/>
      <c r="G28" s="216"/>
      <c r="H28" s="217"/>
      <c r="J28" s="215"/>
      <c r="K28" s="215"/>
      <c r="L28" s="215"/>
      <c r="M28" s="215"/>
      <c r="N28" s="215"/>
      <c r="O28" s="215"/>
      <c r="P28" s="215"/>
      <c r="Q28" s="21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2" t="s">
        <v>322</v>
      </c>
      <c r="C29" s="212"/>
      <c r="D29" s="212"/>
      <c r="E29" s="212"/>
      <c r="F29" s="212"/>
      <c r="G29" s="212"/>
      <c r="H29" s="213"/>
      <c r="J29" s="215"/>
      <c r="K29" s="215"/>
      <c r="L29" s="215"/>
      <c r="M29" s="215"/>
      <c r="N29" s="215"/>
      <c r="O29" s="215"/>
      <c r="P29" s="215"/>
      <c r="Q29" s="21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2" t="s">
        <v>318</v>
      </c>
      <c r="C30" s="212"/>
      <c r="D30" s="212"/>
      <c r="E30" s="212"/>
      <c r="F30" s="212"/>
      <c r="G30" s="212"/>
      <c r="H30" s="213"/>
      <c r="J30" s="211"/>
      <c r="K30" s="211"/>
      <c r="L30" s="211"/>
      <c r="M30" s="211"/>
      <c r="N30" s="211"/>
      <c r="O30" s="211"/>
      <c r="P30" s="211"/>
      <c r="Q30" s="21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2" t="s">
        <v>323</v>
      </c>
      <c r="C31" s="212"/>
      <c r="D31" s="212"/>
      <c r="E31" s="212"/>
      <c r="F31" s="212"/>
      <c r="G31" s="212"/>
      <c r="H31" s="213"/>
      <c r="J31" s="211"/>
      <c r="K31" s="211"/>
      <c r="L31" s="211"/>
      <c r="M31" s="211"/>
      <c r="N31" s="211"/>
      <c r="O31" s="211"/>
      <c r="P31" s="211"/>
      <c r="Q31" s="21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2" t="s">
        <v>324</v>
      </c>
      <c r="C32" s="212"/>
      <c r="D32" s="212"/>
      <c r="E32" s="212"/>
      <c r="F32" s="212"/>
      <c r="G32" s="212"/>
      <c r="H32" s="213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1"/>
      <c r="K33" s="211"/>
      <c r="L33" s="211"/>
      <c r="M33" s="211"/>
      <c r="N33" s="211"/>
      <c r="O33" s="211"/>
      <c r="P33" s="211"/>
      <c r="Q33" s="21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1"/>
      <c r="K34" s="211"/>
      <c r="L34" s="211"/>
      <c r="M34" s="211"/>
      <c r="N34" s="211"/>
      <c r="O34" s="211"/>
      <c r="P34" s="211"/>
      <c r="Q34" s="21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1"/>
      <c r="K35" s="211"/>
      <c r="L35" s="211"/>
      <c r="M35" s="211"/>
      <c r="N35" s="211"/>
      <c r="O35" s="211"/>
      <c r="P35" s="211"/>
      <c r="Q35" s="21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1"/>
      <c r="K36" s="211"/>
      <c r="L36" s="211"/>
      <c r="M36" s="211"/>
      <c r="N36" s="211"/>
      <c r="O36" s="211"/>
      <c r="P36" s="211"/>
      <c r="Q36" s="21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1"/>
      <c r="K37" s="211"/>
      <c r="L37" s="211"/>
      <c r="M37" s="211"/>
      <c r="N37" s="211"/>
      <c r="O37" s="211"/>
      <c r="P37" s="211"/>
      <c r="Q37" s="21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1"/>
      <c r="K38" s="211"/>
      <c r="L38" s="211"/>
      <c r="M38" s="211"/>
      <c r="N38" s="211"/>
      <c r="O38" s="211"/>
      <c r="P38" s="211"/>
      <c r="Q38" s="21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1"/>
      <c r="K39" s="211"/>
      <c r="L39" s="211"/>
      <c r="M39" s="211"/>
      <c r="N39" s="211"/>
      <c r="O39" s="211"/>
      <c r="P39" s="211"/>
      <c r="Q39" s="21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1"/>
      <c r="K40" s="211"/>
      <c r="L40" s="211"/>
      <c r="M40" s="211"/>
      <c r="N40" s="211"/>
      <c r="O40" s="211"/>
      <c r="P40" s="211"/>
      <c r="Q40" s="21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1" zoomScale="120" workbookViewId="0">
      <selection activeCell="B32" sqref="B32"/>
    </sheetView>
  </sheetViews>
  <sheetFormatPr defaultColWidth="9.140625"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3" t="str">
        <f>'ФИ-Почетна'!$C$18</f>
        <v>Макстил А.Д. Скопје</v>
      </c>
      <c r="C1" s="233"/>
      <c r="D1" s="233"/>
    </row>
    <row r="2" spans="1:6" x14ac:dyDescent="0.2">
      <c r="A2" s="99" t="s">
        <v>319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316</v>
      </c>
      <c r="B3" s="101">
        <f>'ФИ-Почетна'!$C$23</f>
        <v>2023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6" t="s">
        <v>376</v>
      </c>
      <c r="B6" s="236"/>
      <c r="C6" s="236"/>
      <c r="D6" s="236"/>
      <c r="F6" s="107"/>
    </row>
    <row r="7" spans="1:6" x14ac:dyDescent="0.2">
      <c r="A7" s="234" t="s">
        <v>377</v>
      </c>
      <c r="B7" s="234"/>
      <c r="C7" s="234"/>
      <c r="D7" s="234"/>
      <c r="F7" s="107"/>
    </row>
    <row r="8" spans="1:6" ht="12.75" customHeight="1" thickBot="1" x14ac:dyDescent="0.25">
      <c r="A8" s="106"/>
      <c r="B8" s="235" t="s">
        <v>24</v>
      </c>
      <c r="C8" s="235"/>
      <c r="D8" s="235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B12+B13+B18+B25+B26+B19</f>
        <v>3813296</v>
      </c>
      <c r="C11" s="75">
        <f>C12+C13+C18+C25+C26+C19</f>
        <v>3814649</v>
      </c>
      <c r="D11" s="75">
        <f t="shared" ref="D11:D35" si="0">IF(B11&lt;=0,0,C11/B11*100)</f>
        <v>100.03548111659835</v>
      </c>
      <c r="F11" s="111"/>
    </row>
    <row r="12" spans="1:6" ht="14.25" thickTop="1" thickBot="1" x14ac:dyDescent="0.25">
      <c r="A12" s="87" t="s">
        <v>160</v>
      </c>
      <c r="B12" s="94">
        <v>935</v>
      </c>
      <c r="C12" s="94">
        <v>4108</v>
      </c>
      <c r="D12" s="75">
        <f t="shared" si="0"/>
        <v>439.35828877005349</v>
      </c>
      <c r="F12" s="111"/>
    </row>
    <row r="13" spans="1:6" ht="14.25" thickTop="1" thickBot="1" x14ac:dyDescent="0.25">
      <c r="A13" s="87" t="s">
        <v>293</v>
      </c>
      <c r="B13" s="75">
        <f>SUM(B14:B17)</f>
        <v>3805922</v>
      </c>
      <c r="C13" s="75">
        <f>SUM(C14:C17)</f>
        <v>3804102</v>
      </c>
      <c r="D13" s="75">
        <f t="shared" si="0"/>
        <v>99.952179787184292</v>
      </c>
      <c r="F13" s="111"/>
    </row>
    <row r="14" spans="1:6" ht="14.25" thickTop="1" thickBot="1" x14ac:dyDescent="0.25">
      <c r="A14" s="88" t="s">
        <v>297</v>
      </c>
      <c r="B14" s="77">
        <v>0</v>
      </c>
      <c r="C14" s="77">
        <v>0</v>
      </c>
      <c r="D14" s="76">
        <f t="shared" si="0"/>
        <v>0</v>
      </c>
      <c r="F14" s="111"/>
    </row>
    <row r="15" spans="1:6" ht="27" thickTop="1" thickBot="1" x14ac:dyDescent="0.25">
      <c r="A15" s="88" t="s">
        <v>259</v>
      </c>
      <c r="B15" s="77">
        <v>3805922</v>
      </c>
      <c r="C15" s="77">
        <v>3804102</v>
      </c>
      <c r="D15" s="76">
        <f t="shared" si="0"/>
        <v>99.952179787184292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>
        <v>0</v>
      </c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6439</v>
      </c>
      <c r="C19" s="75">
        <f>SUM(C20:C24)</f>
        <v>6439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6439</v>
      </c>
      <c r="C21" s="77">
        <v>6439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0</v>
      </c>
      <c r="C23" s="77">
        <v>0</v>
      </c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4442311</v>
      </c>
      <c r="C27" s="75">
        <f>SUM(C28:C33)</f>
        <v>4035129</v>
      </c>
      <c r="D27" s="75">
        <f t="shared" si="0"/>
        <v>90.834005093294905</v>
      </c>
      <c r="F27" s="111"/>
    </row>
    <row r="28" spans="1:6" ht="14.25" thickTop="1" thickBot="1" x14ac:dyDescent="0.25">
      <c r="A28" s="89" t="s">
        <v>166</v>
      </c>
      <c r="B28" s="77">
        <v>2881512</v>
      </c>
      <c r="C28" s="77">
        <v>2906574</v>
      </c>
      <c r="D28" s="76">
        <f t="shared" si="0"/>
        <v>100.86975171368364</v>
      </c>
      <c r="F28" s="111"/>
    </row>
    <row r="29" spans="1:6" ht="15.75" customHeight="1" thickTop="1" thickBot="1" x14ac:dyDescent="0.25">
      <c r="A29" s="89" t="s">
        <v>167</v>
      </c>
      <c r="B29" s="77">
        <f>441642+146273+417779</f>
        <v>1005694</v>
      </c>
      <c r="C29" s="77">
        <f>310272+181402+103441</f>
        <v>595115</v>
      </c>
      <c r="D29" s="76">
        <f t="shared" si="0"/>
        <v>59.174560055046562</v>
      </c>
      <c r="F29" s="111"/>
    </row>
    <row r="30" spans="1:6" ht="14.25" thickTop="1" thickBot="1" x14ac:dyDescent="0.25">
      <c r="A30" s="89" t="s">
        <v>168</v>
      </c>
      <c r="B30" s="210">
        <f>335881+4007</f>
        <v>339888</v>
      </c>
      <c r="C30" s="210">
        <f>291117+4669</f>
        <v>295786</v>
      </c>
      <c r="D30" s="76">
        <f t="shared" si="0"/>
        <v>87.02454926328673</v>
      </c>
      <c r="F30" s="111"/>
    </row>
    <row r="31" spans="1:6" ht="14.25" thickTop="1" thickBot="1" x14ac:dyDescent="0.25">
      <c r="A31" s="89" t="s">
        <v>169</v>
      </c>
      <c r="B31" s="77">
        <v>0</v>
      </c>
      <c r="C31" s="77">
        <v>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199206</v>
      </c>
      <c r="C32" s="77">
        <v>229213</v>
      </c>
      <c r="D32" s="76">
        <f t="shared" si="0"/>
        <v>115.06330130618556</v>
      </c>
      <c r="F32" s="111"/>
    </row>
    <row r="33" spans="1:6" ht="14.25" thickTop="1" thickBot="1" x14ac:dyDescent="0.25">
      <c r="A33" s="89" t="s">
        <v>301</v>
      </c>
      <c r="B33" s="77">
        <v>16011</v>
      </c>
      <c r="C33" s="77">
        <v>8441</v>
      </c>
      <c r="D33" s="76">
        <f t="shared" si="0"/>
        <v>52.72000499656486</v>
      </c>
      <c r="F33" s="111"/>
    </row>
    <row r="34" spans="1:6" ht="14.25" thickTop="1" thickBot="1" x14ac:dyDescent="0.25">
      <c r="A34" s="90" t="s">
        <v>173</v>
      </c>
      <c r="B34" s="75">
        <f>B11+B27</f>
        <v>8255607</v>
      </c>
      <c r="C34" s="75">
        <f>C11+C27</f>
        <v>7849778</v>
      </c>
      <c r="D34" s="75">
        <f t="shared" si="0"/>
        <v>95.084201561435762</v>
      </c>
      <c r="F34" s="111"/>
    </row>
    <row r="35" spans="1:6" ht="14.25" thickTop="1" thickBot="1" x14ac:dyDescent="0.25">
      <c r="A35" s="41" t="s">
        <v>171</v>
      </c>
      <c r="B35" s="77">
        <v>2074562</v>
      </c>
      <c r="C35" s="77">
        <v>1397862</v>
      </c>
      <c r="D35" s="76">
        <f t="shared" si="0"/>
        <v>67.381066461257845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2774506</v>
      </c>
      <c r="C37" s="75">
        <f>(SUM(C38:C41))</f>
        <v>3393750</v>
      </c>
      <c r="D37" s="75">
        <f t="shared" ref="D37:D57" si="1">IF(B37&lt;=0,0,C37/B37*100)</f>
        <v>122.31907229611325</v>
      </c>
      <c r="F37" s="111"/>
    </row>
    <row r="38" spans="1:6" ht="14.25" thickTop="1" thickBot="1" x14ac:dyDescent="0.25">
      <c r="A38" s="88" t="s">
        <v>298</v>
      </c>
      <c r="B38" s="77">
        <v>4431095</v>
      </c>
      <c r="C38" s="77">
        <v>4431095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0</v>
      </c>
      <c r="C39" s="77">
        <v>0</v>
      </c>
      <c r="D39" s="76">
        <f t="shared" si="1"/>
        <v>0</v>
      </c>
      <c r="F39" s="111"/>
    </row>
    <row r="40" spans="1:6" ht="14.25" thickTop="1" thickBot="1" x14ac:dyDescent="0.25">
      <c r="A40" s="88" t="s">
        <v>128</v>
      </c>
      <c r="B40" s="77">
        <f>-2296755+640166</f>
        <v>-1656589</v>
      </c>
      <c r="C40" s="77">
        <f>-1219519+182174</f>
        <v>-1037345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/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5481101</v>
      </c>
      <c r="C42" s="75">
        <f>C43+C51</f>
        <v>4456028</v>
      </c>
      <c r="D42" s="75">
        <f t="shared" si="1"/>
        <v>81.298045775839569</v>
      </c>
      <c r="F42" s="111"/>
    </row>
    <row r="43" spans="1:6" ht="14.25" thickTop="1" thickBot="1" x14ac:dyDescent="0.25">
      <c r="A43" s="90" t="s">
        <v>178</v>
      </c>
      <c r="B43" s="75">
        <f>SUM(B44:B50)</f>
        <v>4340181</v>
      </c>
      <c r="C43" s="75">
        <f>SUM(C44:C50)</f>
        <v>3766473</v>
      </c>
      <c r="D43" s="75">
        <f t="shared" si="1"/>
        <v>86.781472938570985</v>
      </c>
      <c r="F43" s="111"/>
    </row>
    <row r="44" spans="1:6" ht="14.25" thickTop="1" thickBot="1" x14ac:dyDescent="0.25">
      <c r="A44" s="88" t="s">
        <v>179</v>
      </c>
      <c r="B44" s="77">
        <f>1029425+811257+245215+25217+77977</f>
        <v>2189091</v>
      </c>
      <c r="C44" s="77">
        <f>1274801+611497+189453+27057+85199</f>
        <v>2188007</v>
      </c>
      <c r="D44" s="76">
        <f t="shared" si="1"/>
        <v>99.950481729631164</v>
      </c>
      <c r="F44" s="107"/>
    </row>
    <row r="45" spans="1:6" ht="14.25" thickTop="1" thickBot="1" x14ac:dyDescent="0.25">
      <c r="A45" s="89" t="s">
        <v>266</v>
      </c>
      <c r="B45" s="210">
        <f>178711+1915684</f>
        <v>2094395</v>
      </c>
      <c r="C45" s="210">
        <f>177274+1367905</f>
        <v>1545179</v>
      </c>
      <c r="D45" s="76">
        <f t="shared" si="1"/>
        <v>73.776866350425777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0</v>
      </c>
      <c r="C47" s="77">
        <v>0</v>
      </c>
      <c r="D47" s="76">
        <f t="shared" si="1"/>
        <v>0</v>
      </c>
      <c r="F47" s="107"/>
    </row>
    <row r="48" spans="1:6" ht="14.25" thickTop="1" thickBot="1" x14ac:dyDescent="0.25">
      <c r="A48" s="89" t="s">
        <v>267</v>
      </c>
      <c r="B48" s="77">
        <f>53177+3518</f>
        <v>56695</v>
      </c>
      <c r="C48" s="77">
        <f>4013+29274</f>
        <v>33287</v>
      </c>
      <c r="D48" s="76">
        <f t="shared" si="1"/>
        <v>58.712408501631543</v>
      </c>
    </row>
    <row r="49" spans="1:4" ht="14.25" thickTop="1" thickBot="1" x14ac:dyDescent="0.25">
      <c r="A49" s="89" t="s">
        <v>302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299</v>
      </c>
      <c r="B50" s="77"/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1140920</v>
      </c>
      <c r="C51" s="75">
        <f>SUM(C52:C55)</f>
        <v>689555</v>
      </c>
      <c r="D51" s="75">
        <f t="shared" si="1"/>
        <v>60.438505767275529</v>
      </c>
    </row>
    <row r="52" spans="1:4" ht="17.25" customHeight="1" thickTop="1" thickBot="1" x14ac:dyDescent="0.25">
      <c r="A52" s="89" t="s">
        <v>325</v>
      </c>
      <c r="B52" s="77">
        <f>842253+195159</f>
        <v>1037412</v>
      </c>
      <c r="C52" s="77">
        <f>168279+448813</f>
        <v>617092</v>
      </c>
      <c r="D52" s="76">
        <f t="shared" si="1"/>
        <v>59.483792360219468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31892</v>
      </c>
      <c r="C54" s="77">
        <v>29303</v>
      </c>
      <c r="D54" s="76">
        <f t="shared" si="1"/>
        <v>91.881976671265519</v>
      </c>
    </row>
    <row r="55" spans="1:4" ht="14.25" thickTop="1" thickBot="1" x14ac:dyDescent="0.25">
      <c r="A55" s="89" t="s">
        <v>300</v>
      </c>
      <c r="B55" s="77">
        <v>71616</v>
      </c>
      <c r="C55" s="77">
        <v>43160</v>
      </c>
      <c r="D55" s="76">
        <f t="shared" si="1"/>
        <v>60.265862377122424</v>
      </c>
    </row>
    <row r="56" spans="1:4" ht="14.25" thickTop="1" thickBot="1" x14ac:dyDescent="0.25">
      <c r="A56" s="87" t="s">
        <v>265</v>
      </c>
      <c r="B56" s="75">
        <f>B38+B43+B51+B40</f>
        <v>8255607</v>
      </c>
      <c r="C56" s="75">
        <f>C38+C43+C51+C40</f>
        <v>7849778</v>
      </c>
      <c r="D56" s="75">
        <f t="shared" si="1"/>
        <v>95.084201561435762</v>
      </c>
    </row>
    <row r="57" spans="1:4" ht="14.25" thickTop="1" thickBot="1" x14ac:dyDescent="0.25">
      <c r="A57" s="41" t="s">
        <v>185</v>
      </c>
      <c r="B57" s="77">
        <v>2074562</v>
      </c>
      <c r="C57" s="77">
        <v>1397862</v>
      </c>
      <c r="D57" s="76">
        <f t="shared" si="1"/>
        <v>67.381066461257845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8" zoomScale="120" zoomScaleNormal="120" workbookViewId="0">
      <selection activeCell="D49" sqref="D49"/>
    </sheetView>
  </sheetViews>
  <sheetFormatPr defaultColWidth="9.140625"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3" t="str">
        <f>'ФИ-Почетна'!$C$18</f>
        <v>Макстил А.Д. Скопје</v>
      </c>
      <c r="D1" s="233"/>
      <c r="E1" s="233"/>
    </row>
    <row r="2" spans="1:7" ht="12.75" customHeight="1" x14ac:dyDescent="0.2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9" t="s">
        <v>19</v>
      </c>
      <c r="C6" s="239"/>
      <c r="D6" s="239"/>
      <c r="E6" s="118"/>
    </row>
    <row r="7" spans="1:7" ht="12.75" customHeight="1" x14ac:dyDescent="0.2">
      <c r="A7" s="112"/>
      <c r="B7" s="234" t="s">
        <v>378</v>
      </c>
      <c r="C7" s="234"/>
      <c r="D7" s="234"/>
      <c r="E7" s="118"/>
    </row>
    <row r="8" spans="1:7" ht="13.5" thickBot="1" x14ac:dyDescent="0.25">
      <c r="A8" s="112"/>
      <c r="B8" s="112"/>
      <c r="C8" s="235" t="s">
        <v>24</v>
      </c>
      <c r="D8" s="235"/>
      <c r="E8" s="235"/>
    </row>
    <row r="9" spans="1:7" ht="30" customHeight="1" thickTop="1" thickBot="1" x14ac:dyDescent="0.25">
      <c r="A9" s="237" t="s">
        <v>23</v>
      </c>
      <c r="B9" s="238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7"/>
      <c r="B10" s="238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5456796</v>
      </c>
      <c r="D11" s="75">
        <f>D12+D18+D19</f>
        <v>4234385</v>
      </c>
      <c r="E11" s="75">
        <f>IF(C11&lt;=0,0,D11/C11*100)</f>
        <v>77.598374577316065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5428556</v>
      </c>
      <c r="D12" s="76">
        <f>D13+D14</f>
        <v>4222195</v>
      </c>
      <c r="E12" s="76">
        <f t="shared" ref="E12:E49" si="0">IF(C12&lt;=0,0,D12/C12*100)</f>
        <v>77.777497367624093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f>513842+4293</f>
        <v>518135</v>
      </c>
      <c r="D13" s="77">
        <f>378312+289+74</f>
        <v>378675</v>
      </c>
      <c r="E13" s="76">
        <f t="shared" si="0"/>
        <v>73.084234803670853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f>1880178+3030169+74</f>
        <v>4910421</v>
      </c>
      <c r="D14" s="77">
        <f>2336068+1507452</f>
        <v>3843520</v>
      </c>
      <c r="E14" s="76">
        <f t="shared" si="0"/>
        <v>78.272718367732622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1184011</v>
      </c>
      <c r="D16" s="77">
        <v>1590117</v>
      </c>
      <c r="E16" s="76">
        <f t="shared" si="0"/>
        <v>134.29917458537125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1080296</v>
      </c>
      <c r="D17" s="77">
        <v>1538374</v>
      </c>
      <c r="E17" s="76">
        <f t="shared" si="0"/>
        <v>142.4030080644564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7970</v>
      </c>
      <c r="D18" s="77">
        <v>8132</v>
      </c>
      <c r="E18" s="76">
        <f t="shared" si="0"/>
        <v>102.03262233375156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20270</v>
      </c>
      <c r="D19" s="77">
        <v>4058</v>
      </c>
      <c r="E19" s="76">
        <f t="shared" si="0"/>
        <v>20.019733596447953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4596912</v>
      </c>
      <c r="D20" s="75">
        <f>SUM(D21:D31)</f>
        <v>3921907</v>
      </c>
      <c r="E20" s="75">
        <f t="shared" si="0"/>
        <v>85.316120908992815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0</v>
      </c>
      <c r="D21" s="77">
        <v>0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3661696</v>
      </c>
      <c r="D22" s="77">
        <v>2884091</v>
      </c>
      <c r="E22" s="76">
        <f t="shared" si="0"/>
        <v>78.763802347327569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0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251579</v>
      </c>
      <c r="D24" s="77">
        <v>278130</v>
      </c>
      <c r="E24" s="76">
        <f t="shared" si="0"/>
        <v>110.55374256197854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51834</v>
      </c>
      <c r="D25" s="77">
        <v>49845</v>
      </c>
      <c r="E25" s="76">
        <f t="shared" si="0"/>
        <v>96.162750318323873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430297</v>
      </c>
      <c r="D26" s="77">
        <v>500626</v>
      </c>
      <c r="E26" s="76">
        <f t="shared" si="0"/>
        <v>116.34429243057703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159595</v>
      </c>
      <c r="D27" s="77">
        <v>162614</v>
      </c>
      <c r="E27" s="76">
        <f t="shared" si="0"/>
        <v>101.89166327265893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12466</v>
      </c>
      <c r="D29" s="77">
        <v>14517</v>
      </c>
      <c r="E29" s="76">
        <f t="shared" si="0"/>
        <v>116.45275148403658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23756</v>
      </c>
      <c r="D30" s="77">
        <v>23052</v>
      </c>
      <c r="E30" s="76">
        <f t="shared" si="0"/>
        <v>97.036538137733629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5689</v>
      </c>
      <c r="D31" s="77">
        <v>9032</v>
      </c>
      <c r="E31" s="76">
        <f t="shared" si="0"/>
        <v>158.76252416944982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756169</v>
      </c>
      <c r="D32" s="79">
        <f>D11-D20-D16+D17</f>
        <v>260735</v>
      </c>
      <c r="E32" s="79">
        <f t="shared" si="0"/>
        <v>34.481048548670998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26224</v>
      </c>
      <c r="D33" s="79">
        <f>D34+D35+D36</f>
        <v>26704</v>
      </c>
      <c r="E33" s="75">
        <f t="shared" si="0"/>
        <v>101.83038438071993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26224</v>
      </c>
      <c r="D34" s="77">
        <v>26704</v>
      </c>
      <c r="E34" s="76">
        <f t="shared" si="0"/>
        <v>101.83038438071993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69555</v>
      </c>
      <c r="D37" s="75">
        <f>D38+D39+D40</f>
        <v>83114</v>
      </c>
      <c r="E37" s="75">
        <f t="shared" si="0"/>
        <v>119.49392567033283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69555</v>
      </c>
      <c r="D38" s="77">
        <v>83114</v>
      </c>
      <c r="E38" s="76">
        <f t="shared" si="0"/>
        <v>119.49392567033283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712838</v>
      </c>
      <c r="D41" s="75">
        <f>D32+D33-D37</f>
        <v>204325</v>
      </c>
      <c r="E41" s="75">
        <f t="shared" si="0"/>
        <v>28.663595375106265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712838</v>
      </c>
      <c r="D43" s="75">
        <f>D41+D42</f>
        <v>204325</v>
      </c>
      <c r="E43" s="75">
        <f t="shared" si="0"/>
        <v>28.663595375106265</v>
      </c>
    </row>
    <row r="44" spans="1:7" ht="14.25" thickTop="1" thickBot="1" x14ac:dyDescent="0.25">
      <c r="A44" s="74">
        <v>26</v>
      </c>
      <c r="B44" s="96" t="s">
        <v>5</v>
      </c>
      <c r="C44" s="77">
        <v>72672</v>
      </c>
      <c r="D44" s="77">
        <v>22151</v>
      </c>
      <c r="E44" s="76">
        <f t="shared" si="0"/>
        <v>30.480790400704532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640166</v>
      </c>
      <c r="D45" s="75">
        <f>D43-D44</f>
        <v>182174</v>
      </c>
      <c r="E45" s="75">
        <f t="shared" si="0"/>
        <v>28.457306386156091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640166</v>
      </c>
      <c r="D47" s="75">
        <f>D45-D46</f>
        <v>182174</v>
      </c>
      <c r="E47" s="75">
        <f t="shared" si="0"/>
        <v>28.457306386156091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640166</v>
      </c>
      <c r="D49" s="75">
        <f>D45+D48</f>
        <v>182174</v>
      </c>
      <c r="E49" s="75">
        <f t="shared" si="0"/>
        <v>28.457306386156091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0" zoomScale="115" workbookViewId="0">
      <selection activeCell="C49" sqref="C49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2" t="str">
        <f>'ФИ-Почетна'!$C$18</f>
        <v>Макстил А.Д. Скопје</v>
      </c>
      <c r="C1" s="242"/>
      <c r="D1" s="242"/>
    </row>
    <row r="2" spans="1:11" s="7" customFormat="1" x14ac:dyDescent="0.2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1" t="s">
        <v>111</v>
      </c>
      <c r="B5" s="241"/>
      <c r="C5" s="241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0" t="s">
        <v>24</v>
      </c>
      <c r="D7" s="240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1150025</v>
      </c>
      <c r="C9" s="38">
        <f>C10-SUM(C12:C28)</f>
        <v>308003</v>
      </c>
      <c r="D9" s="38">
        <f>IF(B9&lt;=0,0,C9/B9*100)</f>
        <v>26.782287341579529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640166</v>
      </c>
      <c r="C10" s="34">
        <v>182174</v>
      </c>
      <c r="D10" s="122">
        <f>IF(B10&lt;=0,0,C10/B10*100)</f>
        <v>28.457306386156091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159595</v>
      </c>
      <c r="C12" s="34">
        <v>162614</v>
      </c>
      <c r="D12" s="122">
        <f t="shared" ref="D12:D28" si="0">IF(B12&lt;=0,0,C12/B12*100)</f>
        <v>101.89166327265893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-239879</v>
      </c>
      <c r="C14" s="34">
        <v>-136166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-610700</v>
      </c>
      <c r="C15" s="34">
        <v>144103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10868</v>
      </c>
      <c r="C18" s="34">
        <v>-328</v>
      </c>
      <c r="D18" s="122">
        <f t="shared" si="0"/>
        <v>-3.0180345969819653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-40695</v>
      </c>
      <c r="C19" s="34">
        <v>-417653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156654</v>
      </c>
      <c r="C21" s="34">
        <v>94438</v>
      </c>
      <c r="D21" s="122">
        <f t="shared" si="0"/>
        <v>60.284448529881139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54298</v>
      </c>
      <c r="C22" s="34">
        <v>27163</v>
      </c>
      <c r="D22" s="122">
        <f t="shared" si="0"/>
        <v>50.025783638439727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-142108</v>
      </c>
      <c r="C29" s="38">
        <f>SUM(C30:C38)</f>
        <v>-190963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-142108</v>
      </c>
      <c r="C30" s="34">
        <v>-190963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73075</v>
      </c>
      <c r="C39" s="38">
        <f>SUM(C40:C46)</f>
        <v>-360929</v>
      </c>
      <c r="D39" s="124">
        <f>IF(B39&lt;=0,0,C39/B39*100)</f>
        <v>-493.91583989052339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73075</v>
      </c>
      <c r="C42" s="34">
        <v>-360929</v>
      </c>
      <c r="D42" s="122">
        <f t="shared" si="2"/>
        <v>-493.91583989052339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B29+B39+B10+B12+B14+B15+B17+B18+B19+B21+B22</f>
        <v>61274</v>
      </c>
      <c r="C47" s="38">
        <f>C29+C39+C10+C12+C14+C15+C17+C18+C19+C21+C22</f>
        <v>-495547</v>
      </c>
      <c r="D47" s="38">
        <f t="shared" si="2"/>
        <v>-808.73943271208009</v>
      </c>
      <c r="E47" s="7"/>
      <c r="F47" s="7"/>
    </row>
    <row r="48" spans="1:6" ht="14.25" thickTop="1" thickBot="1" x14ac:dyDescent="0.25">
      <c r="A48" s="5" t="s">
        <v>60</v>
      </c>
      <c r="B48" s="34">
        <v>137932</v>
      </c>
      <c r="C48" s="34">
        <v>724760</v>
      </c>
      <c r="D48" s="122">
        <f t="shared" si="2"/>
        <v>525.44732186874694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199206</v>
      </c>
      <c r="C49" s="38">
        <f>C47+C48</f>
        <v>229213</v>
      </c>
      <c r="D49" s="38">
        <f t="shared" si="2"/>
        <v>115.06330130618556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5" zoomScale="110" workbookViewId="0">
      <selection activeCell="E34" sqref="E34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2" t="str">
        <f>'ФИ-Почетна'!$C$18</f>
        <v>Макстил А.Д. Скопје</v>
      </c>
      <c r="C1" s="250"/>
      <c r="D1" s="250"/>
      <c r="E1" s="39"/>
      <c r="F1" s="245"/>
      <c r="G1" s="245"/>
    </row>
    <row r="2" spans="1:7" ht="12.75" customHeight="1" x14ac:dyDescent="0.2">
      <c r="A2" s="66" t="s">
        <v>319</v>
      </c>
      <c r="B2" s="67" t="str">
        <f>'ФИ-Почетна'!$C$22</f>
        <v>01.01 - 30.06</v>
      </c>
      <c r="C2" s="68"/>
      <c r="D2" s="69"/>
      <c r="E2" s="35"/>
      <c r="F2" s="246"/>
      <c r="G2" s="246"/>
    </row>
    <row r="3" spans="1:7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4" t="s">
        <v>135</v>
      </c>
      <c r="B5" s="244"/>
      <c r="C5" s="244"/>
      <c r="D5" s="244"/>
      <c r="E5" s="244"/>
      <c r="F5" s="244"/>
      <c r="G5" s="244"/>
    </row>
    <row r="6" spans="1:7" ht="21" customHeight="1" x14ac:dyDescent="0.2">
      <c r="A6" s="6"/>
      <c r="B6" s="36"/>
      <c r="C6" s="36"/>
      <c r="D6" s="36"/>
      <c r="E6" s="249" t="s">
        <v>24</v>
      </c>
      <c r="F6" s="249"/>
      <c r="G6" s="249"/>
    </row>
    <row r="7" spans="1:7" ht="18" customHeight="1" x14ac:dyDescent="0.2">
      <c r="A7" s="247" t="s">
        <v>134</v>
      </c>
      <c r="B7" s="248" t="s">
        <v>227</v>
      </c>
      <c r="C7" s="248"/>
      <c r="D7" s="248"/>
      <c r="E7" s="248"/>
      <c r="F7" s="243" t="s">
        <v>6</v>
      </c>
      <c r="G7" s="243" t="s">
        <v>129</v>
      </c>
    </row>
    <row r="8" spans="1:7" s="16" customFormat="1" ht="36" x14ac:dyDescent="0.2">
      <c r="A8" s="247"/>
      <c r="B8" s="17" t="s">
        <v>175</v>
      </c>
      <c r="C8" s="17" t="s">
        <v>127</v>
      </c>
      <c r="D8" s="17" t="s">
        <v>228</v>
      </c>
      <c r="E8" s="17" t="s">
        <v>128</v>
      </c>
      <c r="F8" s="243"/>
      <c r="G8" s="243"/>
    </row>
    <row r="9" spans="1:7" x14ac:dyDescent="0.2">
      <c r="A9" s="18" t="s">
        <v>113</v>
      </c>
      <c r="B9" s="30">
        <v>3948195</v>
      </c>
      <c r="C9" s="30"/>
      <c r="D9" s="30">
        <v>482900</v>
      </c>
      <c r="E9" s="30">
        <v>-2296755</v>
      </c>
      <c r="F9" s="30"/>
      <c r="G9" s="23">
        <f t="shared" ref="G9:G27" si="0">SUM(B9:F9)</f>
        <v>2134340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1077236</v>
      </c>
      <c r="F14" s="31"/>
      <c r="G14" s="23">
        <f t="shared" si="0"/>
        <v>1077236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3948195</v>
      </c>
      <c r="C28" s="26">
        <f t="shared" si="1"/>
        <v>0</v>
      </c>
      <c r="D28" s="26">
        <f t="shared" si="1"/>
        <v>482900</v>
      </c>
      <c r="E28" s="26">
        <f t="shared" si="1"/>
        <v>-1219519</v>
      </c>
      <c r="F28" s="26">
        <f t="shared" si="1"/>
        <v>0</v>
      </c>
      <c r="G28" s="26">
        <f t="shared" si="1"/>
        <v>3211576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182174</v>
      </c>
      <c r="F33" s="31"/>
      <c r="G33" s="25">
        <f t="shared" si="2"/>
        <v>182174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3948195</v>
      </c>
      <c r="C47" s="24">
        <f t="shared" si="3"/>
        <v>0</v>
      </c>
      <c r="D47" s="24">
        <f t="shared" si="3"/>
        <v>482900</v>
      </c>
      <c r="E47" s="24">
        <f t="shared" si="3"/>
        <v>-1037345</v>
      </c>
      <c r="F47" s="24">
        <f t="shared" si="3"/>
        <v>0</v>
      </c>
      <c r="G47" s="24">
        <f t="shared" si="3"/>
        <v>3393750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ColWidth="9.140625"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3" t="str">
        <f>'ФИ-Почетна'!$C$18</f>
        <v>Макстил А.Д. Скопје</v>
      </c>
      <c r="C1" s="251"/>
      <c r="D1" s="251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6" t="s">
        <v>186</v>
      </c>
      <c r="B4" s="236"/>
      <c r="C4" s="236"/>
      <c r="D4" s="236"/>
    </row>
    <row r="5" spans="1:4" ht="14.25" customHeight="1" thickBot="1" x14ac:dyDescent="0.25">
      <c r="A5" s="106"/>
      <c r="B5" s="106"/>
      <c r="C5" s="252" t="s">
        <v>35</v>
      </c>
      <c r="D5" s="252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3813296</v>
      </c>
      <c r="C8" s="130">
        <f>'Биланс на состојба'!C11</f>
        <v>3814649</v>
      </c>
      <c r="D8" s="130">
        <f>'Биланс на состојба'!D11</f>
        <v>100.03548111659835</v>
      </c>
    </row>
    <row r="9" spans="1:4" ht="14.25" thickTop="1" thickBot="1" x14ac:dyDescent="0.25">
      <c r="A9" s="131" t="s">
        <v>189</v>
      </c>
      <c r="B9" s="132">
        <f>'Биланс на состојба'!B12</f>
        <v>935</v>
      </c>
      <c r="C9" s="132">
        <f>'Биланс на состојба'!C12</f>
        <v>4108</v>
      </c>
      <c r="D9" s="130">
        <f>'Биланс на состојба'!D12</f>
        <v>439.35828877005349</v>
      </c>
    </row>
    <row r="10" spans="1:4" ht="14.25" thickTop="1" thickBot="1" x14ac:dyDescent="0.25">
      <c r="A10" s="129" t="s">
        <v>190</v>
      </c>
      <c r="B10" s="130">
        <f>'Биланс на состојба'!B13</f>
        <v>3805922</v>
      </c>
      <c r="C10" s="130">
        <f>'Биланс на состојба'!C13</f>
        <v>3804102</v>
      </c>
      <c r="D10" s="130">
        <f>'Биланс на состојба'!D13</f>
        <v>99.952179787184292</v>
      </c>
    </row>
    <row r="11" spans="1:4" ht="14.25" thickTop="1" thickBot="1" x14ac:dyDescent="0.25">
      <c r="A11" s="133" t="s">
        <v>327</v>
      </c>
      <c r="B11" s="132">
        <f>'Биланс на состојба'!B14</f>
        <v>0</v>
      </c>
      <c r="C11" s="132">
        <f>'Биланс на состојба'!C14</f>
        <v>0</v>
      </c>
      <c r="D11" s="134">
        <f>'Биланс на состојба'!D14</f>
        <v>0</v>
      </c>
    </row>
    <row r="12" spans="1:4" ht="14.25" thickTop="1" thickBot="1" x14ac:dyDescent="0.25">
      <c r="A12" s="133" t="s">
        <v>328</v>
      </c>
      <c r="B12" s="132">
        <f>'Биланс на состојба'!B15</f>
        <v>3805922</v>
      </c>
      <c r="C12" s="132">
        <f>'Биланс на состојба'!C15</f>
        <v>3804102</v>
      </c>
      <c r="D12" s="134">
        <f>'Биланс на состојба'!D15</f>
        <v>99.952179787184292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6439</v>
      </c>
      <c r="C16" s="130">
        <f>'Биланс на состојба'!C19</f>
        <v>6439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6439</v>
      </c>
      <c r="C18" s="132">
        <f>'Биланс на состојба'!C21</f>
        <v>6439</v>
      </c>
      <c r="D18" s="134">
        <f>'Биланс на состојба'!D21</f>
        <v>100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4442311</v>
      </c>
      <c r="C24" s="132">
        <f>'Биланс на состојба'!C27</f>
        <v>4035129</v>
      </c>
      <c r="D24" s="130">
        <f>'Биланс на состојба'!D27</f>
        <v>90.834005093294905</v>
      </c>
    </row>
    <row r="25" spans="1:4" ht="14.25" thickTop="1" thickBot="1" x14ac:dyDescent="0.25">
      <c r="A25" s="131" t="s">
        <v>196</v>
      </c>
      <c r="B25" s="130">
        <f>'Биланс на состојба'!B28</f>
        <v>2881512</v>
      </c>
      <c r="C25" s="130">
        <f>'Биланс на состојба'!C28</f>
        <v>2906574</v>
      </c>
      <c r="D25" s="134">
        <f>'Биланс на состојба'!D28</f>
        <v>100.86975171368364</v>
      </c>
    </row>
    <row r="26" spans="1:4" ht="14.25" thickTop="1" thickBot="1" x14ac:dyDescent="0.25">
      <c r="A26" s="133" t="s">
        <v>197</v>
      </c>
      <c r="B26" s="132">
        <f>'Биланс на состојба'!B29</f>
        <v>1005694</v>
      </c>
      <c r="C26" s="132">
        <f>'Биланс на состојба'!C29</f>
        <v>595115</v>
      </c>
      <c r="D26" s="134">
        <f>'Биланс на состојба'!D29</f>
        <v>59.174560055046562</v>
      </c>
    </row>
    <row r="27" spans="1:4" ht="14.25" thickTop="1" thickBot="1" x14ac:dyDescent="0.25">
      <c r="A27" s="133" t="s">
        <v>336</v>
      </c>
      <c r="B27" s="132">
        <f>'Биланс на состојба'!B30</f>
        <v>339888</v>
      </c>
      <c r="C27" s="132">
        <f>'Биланс на состојба'!C30</f>
        <v>295786</v>
      </c>
      <c r="D27" s="134">
        <f>'Биланс на состојба'!D30</f>
        <v>87.02454926328673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199206</v>
      </c>
      <c r="C29" s="132">
        <f>'Биланс на состојба'!C32</f>
        <v>229213</v>
      </c>
      <c r="D29" s="134">
        <f>'Биланс на состојба'!D32</f>
        <v>115.06330130618556</v>
      </c>
    </row>
    <row r="30" spans="1:4" ht="14.25" thickTop="1" thickBot="1" x14ac:dyDescent="0.25">
      <c r="A30" s="131" t="s">
        <v>337</v>
      </c>
      <c r="B30" s="132">
        <f>'Биланс на состојба'!B33</f>
        <v>16011</v>
      </c>
      <c r="C30" s="132">
        <f>'Биланс на состојба'!C33</f>
        <v>8441</v>
      </c>
      <c r="D30" s="134">
        <f>'Биланс на состојба'!D33</f>
        <v>52.72000499656486</v>
      </c>
    </row>
    <row r="31" spans="1:4" ht="14.25" thickTop="1" thickBot="1" x14ac:dyDescent="0.25">
      <c r="A31" s="137" t="s">
        <v>200</v>
      </c>
      <c r="B31" s="130">
        <f>'Биланс на состојба'!B34</f>
        <v>8255607</v>
      </c>
      <c r="C31" s="130">
        <f>'Биланс на состојба'!C34</f>
        <v>7849778</v>
      </c>
      <c r="D31" s="130">
        <f>'Биланс на состојба'!D34</f>
        <v>95.084201561435762</v>
      </c>
    </row>
    <row r="32" spans="1:4" ht="14.25" thickTop="1" thickBot="1" x14ac:dyDescent="0.25">
      <c r="A32" s="131" t="s">
        <v>201</v>
      </c>
      <c r="B32" s="134">
        <f>'Биланс на состојба'!B35</f>
        <v>2074562</v>
      </c>
      <c r="C32" s="134">
        <f>'Биланс на состојба'!C35</f>
        <v>1397862</v>
      </c>
      <c r="D32" s="134">
        <f>'Биланс на состојба'!D35</f>
        <v>67.381066461257845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2774506</v>
      </c>
      <c r="C34" s="130">
        <f>'Биланс на состојба'!C37</f>
        <v>3393750</v>
      </c>
      <c r="D34" s="130">
        <f>'Биланс на состојба'!D37</f>
        <v>122.31907229611325</v>
      </c>
    </row>
    <row r="35" spans="1:4" ht="14.25" thickTop="1" thickBot="1" x14ac:dyDescent="0.25">
      <c r="A35" s="141" t="s">
        <v>338</v>
      </c>
      <c r="B35" s="132">
        <f>'Биланс на состојба'!B38</f>
        <v>4431095</v>
      </c>
      <c r="C35" s="132">
        <f>'Биланс на состојба'!C38</f>
        <v>4431095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0</v>
      </c>
      <c r="C36" s="132">
        <f>'Биланс на состојба'!C39</f>
        <v>0</v>
      </c>
      <c r="D36" s="134">
        <f>'Биланс на состојба'!D39</f>
        <v>0</v>
      </c>
    </row>
    <row r="37" spans="1:4" ht="14.25" thickTop="1" thickBot="1" x14ac:dyDescent="0.25">
      <c r="A37" s="131" t="s">
        <v>205</v>
      </c>
      <c r="B37" s="132">
        <f>'Биланс на состојба'!B40</f>
        <v>-1656589</v>
      </c>
      <c r="C37" s="132">
        <f>'Биланс на состојба'!C40</f>
        <v>-1037345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5481101</v>
      </c>
      <c r="C39" s="130">
        <f>'Биланс на состојба'!C42</f>
        <v>4456028</v>
      </c>
      <c r="D39" s="130">
        <f>'Биланс на состојба'!D42</f>
        <v>81.298045775839569</v>
      </c>
    </row>
    <row r="40" spans="1:4" ht="14.25" thickTop="1" thickBot="1" x14ac:dyDescent="0.25">
      <c r="A40" s="137" t="s">
        <v>208</v>
      </c>
      <c r="B40" s="130">
        <f>'Биланс на состојба'!B43</f>
        <v>4340181</v>
      </c>
      <c r="C40" s="130">
        <f>'Биланс на состојба'!C43</f>
        <v>3766473</v>
      </c>
      <c r="D40" s="130">
        <f>'Биланс на состојба'!D43</f>
        <v>86.781472938570985</v>
      </c>
    </row>
    <row r="41" spans="1:4" ht="14.25" thickTop="1" thickBot="1" x14ac:dyDescent="0.25">
      <c r="A41" s="131" t="s">
        <v>209</v>
      </c>
      <c r="B41" s="132">
        <f>'Биланс на состојба'!B44</f>
        <v>2189091</v>
      </c>
      <c r="C41" s="132">
        <f>'Биланс на состојба'!C44</f>
        <v>2188007</v>
      </c>
      <c r="D41" s="134">
        <f>'Биланс на состојба'!D44</f>
        <v>99.950481729631164</v>
      </c>
    </row>
    <row r="42" spans="1:4" ht="14.25" thickTop="1" thickBot="1" x14ac:dyDescent="0.25">
      <c r="A42" s="133" t="s">
        <v>210</v>
      </c>
      <c r="B42" s="132">
        <f>'Биланс на состојба'!B45</f>
        <v>2094395</v>
      </c>
      <c r="C42" s="132">
        <f>'Биланс на состојба'!C45</f>
        <v>1545179</v>
      </c>
      <c r="D42" s="134">
        <f>'Биланс на состојба'!D45</f>
        <v>73.776866350425777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0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25" thickTop="1" thickBot="1" x14ac:dyDescent="0.25">
      <c r="A45" s="133" t="s">
        <v>339</v>
      </c>
      <c r="B45" s="134">
        <f>'Биланс на состојба'!B48</f>
        <v>56695</v>
      </c>
      <c r="C45" s="134">
        <f>'Биланс на состојба'!C48</f>
        <v>33287</v>
      </c>
      <c r="D45" s="134">
        <f>'Биланс на состојба'!D48</f>
        <v>58.712408501631543</v>
      </c>
    </row>
    <row r="46" spans="1:4" ht="14.25" thickTop="1" thickBot="1" x14ac:dyDescent="0.25">
      <c r="A46" s="133" t="s">
        <v>340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1140920</v>
      </c>
      <c r="C48" s="130">
        <f>'Биланс на состојба'!C51</f>
        <v>689555</v>
      </c>
      <c r="D48" s="130">
        <f>'Биланс на состојба'!D51</f>
        <v>60.438505767275529</v>
      </c>
    </row>
    <row r="49" spans="1:4" ht="14.25" thickTop="1" thickBot="1" x14ac:dyDescent="0.25">
      <c r="A49" s="133" t="s">
        <v>214</v>
      </c>
      <c r="B49" s="132">
        <f>'Биланс на состојба'!B52</f>
        <v>1037412</v>
      </c>
      <c r="C49" s="132">
        <f>'Биланс на состојба'!C52</f>
        <v>617092</v>
      </c>
      <c r="D49" s="134">
        <f>'Биланс на состојба'!D52</f>
        <v>59.483792360219468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31892</v>
      </c>
      <c r="C51" s="132">
        <f>'Биланс на состојба'!C54</f>
        <v>29303</v>
      </c>
      <c r="D51" s="134">
        <f>'Биланс на состојба'!D54</f>
        <v>91.881976671265519</v>
      </c>
    </row>
    <row r="52" spans="1:4" ht="14.25" thickTop="1" thickBot="1" x14ac:dyDescent="0.25">
      <c r="A52" s="133" t="s">
        <v>342</v>
      </c>
      <c r="B52" s="132">
        <f>'Биланс на состојба'!B55</f>
        <v>71616</v>
      </c>
      <c r="C52" s="132">
        <f>'Биланс на состојба'!C55</f>
        <v>43160</v>
      </c>
      <c r="D52" s="134">
        <f>'Биланс на состојба'!D55</f>
        <v>60.265862377122424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8255607</v>
      </c>
      <c r="C53" s="130">
        <f>'Биланс на состојба'!C56</f>
        <v>7849778</v>
      </c>
      <c r="D53" s="130">
        <f>'Биланс на состојба'!D56</f>
        <v>95.084201561435762</v>
      </c>
    </row>
    <row r="54" spans="1:4" ht="14.25" thickTop="1" thickBot="1" x14ac:dyDescent="0.25">
      <c r="A54" s="131" t="s">
        <v>218</v>
      </c>
      <c r="B54" s="132">
        <f>'Биланс на состојба'!B57</f>
        <v>2074562</v>
      </c>
      <c r="C54" s="132">
        <f>'Биланс на состојба'!C57</f>
        <v>1397862</v>
      </c>
      <c r="D54" s="134">
        <f>'Биланс на состојба'!D57</f>
        <v>67.381066461257845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topLeftCell="A20" zoomScale="110" workbookViewId="0">
      <selection activeCell="G23" sqref="G23"/>
    </sheetView>
  </sheetViews>
  <sheetFormatPr defaultColWidth="9.140625"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6" t="str">
        <f>'ФИ-Почетна'!$C$18</f>
        <v>Макстил А.Д. Скопје</v>
      </c>
      <c r="D2" s="257"/>
      <c r="E2" s="257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5" t="s">
        <v>27</v>
      </c>
      <c r="C6" s="255"/>
      <c r="D6" s="255"/>
      <c r="E6" s="255"/>
    </row>
    <row r="7" spans="1:6" x14ac:dyDescent="0.2">
      <c r="A7" s="144"/>
      <c r="B7" s="255"/>
      <c r="C7" s="255"/>
      <c r="D7" s="255"/>
      <c r="E7" s="255"/>
    </row>
    <row r="8" spans="1:6" s="155" customFormat="1" ht="15" customHeight="1" thickBot="1" x14ac:dyDescent="0.25">
      <c r="A8" s="153"/>
      <c r="B8" s="154"/>
      <c r="C8" s="254" t="s">
        <v>35</v>
      </c>
      <c r="D8" s="254"/>
      <c r="E8" s="254"/>
    </row>
    <row r="9" spans="1:6" s="157" customFormat="1" ht="25.5" customHeight="1" thickTop="1" thickBot="1" x14ac:dyDescent="0.25">
      <c r="A9" s="253"/>
      <c r="B9" s="253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3"/>
      <c r="B10" s="253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5456796</v>
      </c>
      <c r="D11" s="130">
        <f>'Биланс на успех - природа'!D11</f>
        <v>4234385</v>
      </c>
      <c r="E11" s="130">
        <f>'Биланс на успех - природа'!E11</f>
        <v>77.598374577316065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5428556</v>
      </c>
      <c r="D12" s="134">
        <f>'Биланс на успех - природа'!D12</f>
        <v>4222195</v>
      </c>
      <c r="E12" s="134">
        <f>'Биланс на успех - природа'!E12</f>
        <v>77.777497367624093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518135</v>
      </c>
      <c r="D13" s="163">
        <f>'Биланс на успех - природа'!D13</f>
        <v>378675</v>
      </c>
      <c r="E13" s="134">
        <f>'Биланс на успех - природа'!E13</f>
        <v>73.084234803670853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4910421</v>
      </c>
      <c r="D14" s="163">
        <f>'Биланс на успех - природа'!D14</f>
        <v>3843520</v>
      </c>
      <c r="E14" s="134">
        <f>'Биланс на успех - природа'!E14</f>
        <v>78.272718367732622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1184011</v>
      </c>
      <c r="D16" s="163">
        <f>'Биланс на успех - природа'!D16</f>
        <v>1590117</v>
      </c>
      <c r="E16" s="134">
        <f>'Биланс на успех - природа'!E16</f>
        <v>134.29917458537125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1080296</v>
      </c>
      <c r="D17" s="163">
        <f>'Биланс на успех - природа'!D17</f>
        <v>1538374</v>
      </c>
      <c r="E17" s="134">
        <f>'Биланс на успех - природа'!E17</f>
        <v>142.4030080644564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7970</v>
      </c>
      <c r="D18" s="163">
        <f>'Биланс на успех - природа'!D18</f>
        <v>8132</v>
      </c>
      <c r="E18" s="134">
        <f>'Биланс на успех - природа'!E18</f>
        <v>102.03262233375156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20270</v>
      </c>
      <c r="D19" s="163">
        <f>'Биланс на успех - природа'!D19</f>
        <v>4058</v>
      </c>
      <c r="E19" s="134">
        <f>'Биланс на успех - природа'!E19</f>
        <v>20.019733596447953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4596912</v>
      </c>
      <c r="D20" s="130">
        <f>'Биланс на успех - природа'!D20</f>
        <v>3921907</v>
      </c>
      <c r="E20" s="130">
        <f>'Биланс на успех - природа'!E20</f>
        <v>85.316120908992815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3661696</v>
      </c>
      <c r="D22" s="163">
        <f>'Биланс на успех - природа'!D22</f>
        <v>2884091</v>
      </c>
      <c r="E22" s="134">
        <f>'Биланс на успех - природа'!E22</f>
        <v>78.763802347327569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251579</v>
      </c>
      <c r="D24" s="163">
        <f>'Биланс на успех - природа'!D24</f>
        <v>278130</v>
      </c>
      <c r="E24" s="134">
        <f>'Биланс на успех - природа'!E24</f>
        <v>110.55374256197854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51834</v>
      </c>
      <c r="D25" s="163">
        <f>'Биланс на успех - природа'!D25</f>
        <v>49845</v>
      </c>
      <c r="E25" s="134">
        <f>'Биланс на успех - природа'!E25</f>
        <v>96.162750318323873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430297</v>
      </c>
      <c r="D26" s="163">
        <f>'Биланс на успех - природа'!D26</f>
        <v>500626</v>
      </c>
      <c r="E26" s="134">
        <f>'Биланс на успех - природа'!E26</f>
        <v>116.34429243057703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159595</v>
      </c>
      <c r="D27" s="163">
        <f>'Биланс на успех - природа'!D27</f>
        <v>162614</v>
      </c>
      <c r="E27" s="134">
        <f>'Биланс на успех - природа'!E27</f>
        <v>101.89166327265893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12466</v>
      </c>
      <c r="D29" s="163">
        <f>'Биланс на успех - природа'!D29</f>
        <v>14517</v>
      </c>
      <c r="E29" s="134">
        <f>'Биланс на успех - природа'!E29</f>
        <v>116.45275148403658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23756</v>
      </c>
      <c r="D30" s="163">
        <f>'Биланс на успех - природа'!D30</f>
        <v>23052</v>
      </c>
      <c r="E30" s="134">
        <f>'Биланс на успех - природа'!E30</f>
        <v>97.036538137733629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5689</v>
      </c>
      <c r="D31" s="163">
        <f>'Биланс на успех - природа'!D31</f>
        <v>9032</v>
      </c>
      <c r="E31" s="134">
        <f>'Биланс на успех - природа'!E31</f>
        <v>158.76252416944982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756169</v>
      </c>
      <c r="D32" s="167">
        <f>'Биланс на успех - природа'!D32</f>
        <v>260735</v>
      </c>
      <c r="E32" s="167">
        <f>'Биланс на успех - природа'!E32</f>
        <v>34.481048548670998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26224</v>
      </c>
      <c r="D33" s="167">
        <f>'Биланс на успех - природа'!D33</f>
        <v>26704</v>
      </c>
      <c r="E33" s="130">
        <f>'Биланс на успех - природа'!E33</f>
        <v>101.83038438071993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26224</v>
      </c>
      <c r="D34" s="163">
        <f>'Биланс на успех - природа'!D34</f>
        <v>26704</v>
      </c>
      <c r="E34" s="134">
        <f>'Биланс на успех - природа'!E34</f>
        <v>101.83038438071993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69555</v>
      </c>
      <c r="D37" s="130">
        <f>'Биланс на успех - природа'!D37</f>
        <v>83114</v>
      </c>
      <c r="E37" s="130">
        <f>'Биланс на успех - природа'!E37</f>
        <v>119.49392567033283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69555</v>
      </c>
      <c r="D38" s="163">
        <f>'Биланс на успех - природа'!D38</f>
        <v>83114</v>
      </c>
      <c r="E38" s="134">
        <f>'Биланс на успех - природа'!E38</f>
        <v>119.49392567033283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712838</v>
      </c>
      <c r="D41" s="130">
        <f>'Биланс на успех - природа'!D41</f>
        <v>204325</v>
      </c>
      <c r="E41" s="130">
        <f>'Биланс на успех - природа'!E41</f>
        <v>28.663595375106265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712838</v>
      </c>
      <c r="D43" s="130">
        <f>'Биланс на успех - природа'!D43</f>
        <v>204325</v>
      </c>
      <c r="E43" s="130">
        <f>'Биланс на успех - природа'!E43</f>
        <v>28.663595375106265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72672</v>
      </c>
      <c r="D44" s="163">
        <f>'Биланс на успех - природа'!D44</f>
        <v>22151</v>
      </c>
      <c r="E44" s="134">
        <f>'Биланс на успех - природа'!E44</f>
        <v>30.480790400704532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640166</v>
      </c>
      <c r="D45" s="130">
        <f>'Биланс на успех - природа'!D45</f>
        <v>182174</v>
      </c>
      <c r="E45" s="130">
        <f>'Биланс на успех - природа'!E45</f>
        <v>28.457306386156091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640166</v>
      </c>
      <c r="D47" s="130">
        <f>'Биланс на успех - природа'!D47</f>
        <v>182174</v>
      </c>
      <c r="E47" s="130">
        <f>'Биланс на успех - природа'!E47</f>
        <v>28.457306386156091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640166</v>
      </c>
      <c r="D49" s="130">
        <f>'Биланс на успех - природа'!D49</f>
        <v>182174</v>
      </c>
      <c r="E49" s="130">
        <f>'Биланс на успех - природа'!E49</f>
        <v>28.457306386156091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topLeftCell="A27" zoomScale="110" workbookViewId="0">
      <selection activeCell="C29" sqref="C29"/>
    </sheetView>
  </sheetViews>
  <sheetFormatPr defaultColWidth="9.140625"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8" t="str">
        <f>'ФИ-Почетна'!$C$18</f>
        <v>Макстил А.Д. Скопје</v>
      </c>
      <c r="C2" s="259"/>
      <c r="D2" s="259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60" t="s">
        <v>112</v>
      </c>
      <c r="B5" s="260"/>
      <c r="C5" s="260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1" t="s">
        <v>35</v>
      </c>
      <c r="D6" s="261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1150025</v>
      </c>
      <c r="C8" s="178">
        <f>'Паричен тек'!C9</f>
        <v>308003</v>
      </c>
      <c r="D8" s="178">
        <f>'Паричен тек'!D9</f>
        <v>26.782287341579529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640166</v>
      </c>
      <c r="C9" s="180">
        <f>'Паричен тек'!C10</f>
        <v>182174</v>
      </c>
      <c r="D9" s="180">
        <f>'Паричен тек'!D10</f>
        <v>28.457306386156091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159595</v>
      </c>
      <c r="C11" s="182">
        <f>'Паричен тек'!C12</f>
        <v>162614</v>
      </c>
      <c r="D11" s="182">
        <f>'Паричен тек'!D12</f>
        <v>101.89166327265893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-239879</v>
      </c>
      <c r="C13" s="182">
        <f>'Паричен тек'!C14</f>
        <v>-136166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-610700</v>
      </c>
      <c r="C14" s="182">
        <f>'Паричен тек'!C15</f>
        <v>144103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10868</v>
      </c>
      <c r="C17" s="182">
        <f>'Паричен тек'!C18</f>
        <v>-328</v>
      </c>
      <c r="D17" s="182">
        <f>'Паричен тек'!D18</f>
        <v>-3.0180345969819653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-40695</v>
      </c>
      <c r="C18" s="182">
        <f>'Паричен тек'!C19</f>
        <v>-417653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156654</v>
      </c>
      <c r="C20" s="182">
        <f>'Паричен тек'!C21</f>
        <v>94438</v>
      </c>
      <c r="D20" s="182">
        <f>'Паричен тек'!D21</f>
        <v>60.284448529881139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54298</v>
      </c>
      <c r="C21" s="182">
        <f>'Паричен тек'!C22</f>
        <v>27163</v>
      </c>
      <c r="D21" s="182">
        <f>'Паричен тек'!D22</f>
        <v>50.025783638439727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-142108</v>
      </c>
      <c r="C28" s="178">
        <f>'Паричен тек'!C29</f>
        <v>-190963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-142108</v>
      </c>
      <c r="C29" s="182">
        <f>'Паричен тек'!C30</f>
        <v>-190963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73075</v>
      </c>
      <c r="C38" s="178">
        <f>'Паричен тек'!C39</f>
        <v>-360929</v>
      </c>
      <c r="D38" s="178">
        <f>'Паричен тек'!D39</f>
        <v>-493.91583989052339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73075</v>
      </c>
      <c r="C41" s="182">
        <f>'Паричен тек'!C42</f>
        <v>-360929</v>
      </c>
      <c r="D41" s="182">
        <f>'Паричен тек'!D42</f>
        <v>-493.91583989052339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61274</v>
      </c>
      <c r="C46" s="178">
        <f>'Паричен тек'!C47</f>
        <v>-495547</v>
      </c>
      <c r="D46" s="178">
        <f>'Паричен тек'!D47</f>
        <v>-808.73943271208009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137932</v>
      </c>
      <c r="C47" s="182">
        <f>'Паричен тек'!C48</f>
        <v>724760</v>
      </c>
      <c r="D47" s="182">
        <f>'Паричен тек'!D48</f>
        <v>525.44732186874694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199206</v>
      </c>
      <c r="C48" s="178">
        <f>'Паричен тек'!C49</f>
        <v>229213</v>
      </c>
      <c r="D48" s="178">
        <f>'Паричен тек'!D49</f>
        <v>115.06330130618556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ColWidth="9.140625"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6" t="str">
        <f>'ФИ-Почетна'!$C$22</f>
        <v>01.01 - 30.06</v>
      </c>
      <c r="G1" s="266"/>
    </row>
    <row r="2" spans="1:7" ht="12.75" customHeight="1" x14ac:dyDescent="0.2">
      <c r="A2" s="187" t="s">
        <v>136</v>
      </c>
      <c r="B2" s="268" t="str">
        <f>'ФИ-Почетна'!$C$18</f>
        <v>Макстил А.Д. Скопје</v>
      </c>
      <c r="C2" s="269"/>
      <c r="D2" s="269"/>
      <c r="E2" s="186" t="s">
        <v>326</v>
      </c>
      <c r="F2" s="267">
        <f>'ФИ-Почетна'!$C$23</f>
        <v>2023</v>
      </c>
      <c r="G2" s="267"/>
    </row>
    <row r="3" spans="1:7" ht="28.5" customHeight="1" x14ac:dyDescent="0.2">
      <c r="A3" s="264" t="s">
        <v>219</v>
      </c>
      <c r="B3" s="264"/>
      <c r="C3" s="264"/>
      <c r="D3" s="264"/>
      <c r="E3" s="264"/>
      <c r="F3" s="264"/>
      <c r="G3" s="264"/>
    </row>
    <row r="4" spans="1:7" ht="15.75" customHeight="1" x14ac:dyDescent="0.2">
      <c r="A4" s="185"/>
      <c r="B4" s="188"/>
      <c r="C4" s="188"/>
      <c r="D4" s="188"/>
      <c r="E4" s="185"/>
      <c r="F4" s="265" t="s">
        <v>35</v>
      </c>
      <c r="G4" s="265"/>
    </row>
    <row r="5" spans="1:7" ht="30" customHeight="1" x14ac:dyDescent="0.2">
      <c r="A5" s="262" t="s">
        <v>137</v>
      </c>
      <c r="B5" s="270" t="s">
        <v>230</v>
      </c>
      <c r="C5" s="270"/>
      <c r="D5" s="270"/>
      <c r="E5" s="270"/>
      <c r="F5" s="270" t="s">
        <v>140</v>
      </c>
      <c r="G5" s="270" t="s">
        <v>141</v>
      </c>
    </row>
    <row r="6" spans="1:7" s="190" customFormat="1" ht="27.75" customHeight="1" x14ac:dyDescent="0.2">
      <c r="A6" s="263"/>
      <c r="B6" s="189" t="s">
        <v>231</v>
      </c>
      <c r="C6" s="189" t="s">
        <v>138</v>
      </c>
      <c r="D6" s="189" t="s">
        <v>232</v>
      </c>
      <c r="E6" s="189" t="s">
        <v>139</v>
      </c>
      <c r="F6" s="270"/>
      <c r="G6" s="270"/>
    </row>
    <row r="7" spans="1:7" x14ac:dyDescent="0.2">
      <c r="A7" s="191" t="s">
        <v>157</v>
      </c>
      <c r="B7" s="192">
        <f>Капитал!B9</f>
        <v>3948195</v>
      </c>
      <c r="C7" s="192">
        <f>Капитал!C9</f>
        <v>0</v>
      </c>
      <c r="D7" s="192">
        <f>Капитал!D9</f>
        <v>482900</v>
      </c>
      <c r="E7" s="192">
        <f>Капитал!E9</f>
        <v>-2296755</v>
      </c>
      <c r="F7" s="192">
        <f>Капитал!F9</f>
        <v>0</v>
      </c>
      <c r="G7" s="193">
        <f>Капитал!G9</f>
        <v>2134340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1077236</v>
      </c>
      <c r="F12" s="195">
        <f>Капитал!F14</f>
        <v>0</v>
      </c>
      <c r="G12" s="193">
        <f>Капитал!G14</f>
        <v>1077236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3948195</v>
      </c>
      <c r="C26" s="199">
        <f>Капитал!C28</f>
        <v>0</v>
      </c>
      <c r="D26" s="199">
        <f>Капитал!D28</f>
        <v>482900</v>
      </c>
      <c r="E26" s="199">
        <f>Капитал!E28</f>
        <v>-1219519</v>
      </c>
      <c r="F26" s="199">
        <f>Капитал!F28</f>
        <v>0</v>
      </c>
      <c r="G26" s="199">
        <f>Капитал!G28</f>
        <v>3211576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182174</v>
      </c>
      <c r="F31" s="195">
        <f>Капитал!F33</f>
        <v>0</v>
      </c>
      <c r="G31" s="201">
        <f>Капитал!G33</f>
        <v>182174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3948195</v>
      </c>
      <c r="C45" s="199">
        <f>Капитал!C47</f>
        <v>0</v>
      </c>
      <c r="D45" s="199">
        <f>Капитал!D47</f>
        <v>482900</v>
      </c>
      <c r="E45" s="199">
        <f>Капитал!E47</f>
        <v>-1037345</v>
      </c>
      <c r="F45" s="199">
        <f>Капитал!F47</f>
        <v>0</v>
      </c>
      <c r="G45" s="199">
        <f>Капитал!G47</f>
        <v>3393750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Nikolina Hristovska</cp:lastModifiedBy>
  <cp:lastPrinted>2023-07-27T09:04:23Z</cp:lastPrinted>
  <dcterms:created xsi:type="dcterms:W3CDTF">2008-02-12T15:15:13Z</dcterms:created>
  <dcterms:modified xsi:type="dcterms:W3CDTF">2023-07-27T13:31:18Z</dcterms:modified>
</cp:coreProperties>
</file>